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795" windowHeight="6150" firstSheet="1" activeTab="1"/>
  </bookViews>
  <sheets>
    <sheet name="REGIMEN" sheetId="1" r:id="rId1"/>
    <sheet name="Ingreso de datos" sheetId="2" r:id="rId2"/>
    <sheet name="Resultado" sheetId="3" state="hidden" r:id="rId3"/>
    <sheet name="DETERMINACION IMPUESTO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B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Valor al 10 de marzo 06</t>
        </r>
      </text>
    </comment>
    <comment ref="B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Valor actual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J4" authorId="0">
      <text>
        <r>
          <rPr>
            <sz val="8"/>
            <rFont val="Tahoma"/>
            <family val="2"/>
          </rPr>
          <t>Los aportes son según supere o no el tope de aportación.
Para determinar si el aguinaldo supera o no el tope anual se suman los dos aguinaldos del año y en caso de que la suma supere el tope se devuelve en diciembre</t>
        </r>
      </text>
    </comment>
    <comment ref="E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+ Sueldo
+ Aguinaldo
+ Salario Vacacional</t>
        </r>
      </text>
    </comment>
    <comment ref="B1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Tope actual de aportación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Valor actual</t>
        </r>
      </text>
    </comment>
    <comment ref="B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Valor al 10 de marzo 06</t>
        </r>
      </text>
    </comment>
  </commentList>
</comments>
</file>

<file path=xl/sharedStrings.xml><?xml version="1.0" encoding="utf-8"?>
<sst xmlns="http://schemas.openxmlformats.org/spreadsheetml/2006/main" count="124" uniqueCount="105">
  <si>
    <t xml:space="preserve">Escalas de Renta anual computable </t>
  </si>
  <si>
    <t>BPC</t>
  </si>
  <si>
    <t>Desde BPC</t>
  </si>
  <si>
    <t>Hasta BPC</t>
  </si>
  <si>
    <t>Desde $</t>
  </si>
  <si>
    <t>UI</t>
  </si>
  <si>
    <t>Tasa</t>
  </si>
  <si>
    <t>Exento</t>
  </si>
  <si>
    <t>Forma de cálculo:</t>
  </si>
  <si>
    <t>aplicándose a la proporción de renta comprendida en cada tramo</t>
  </si>
  <si>
    <t>de la escala la tasa correspondiente a dicho tramo</t>
  </si>
  <si>
    <t>1- RENTAS DEL TRABAJO = La suma de las rentas computables se ingresa a la escala</t>
  </si>
  <si>
    <t>2 - DEDUCCIONES</t>
  </si>
  <si>
    <t>2,1 Aportes Jubilatorios</t>
  </si>
  <si>
    <t>2,2 Aportes a DISSE y FRL</t>
  </si>
  <si>
    <t>2,3 Fondo de Solidaridad</t>
  </si>
  <si>
    <t>2,4 Importes pagados x c/hijo por afiliacion a IAMC (tope 8000 UI)</t>
  </si>
  <si>
    <t>2,5 Hijos Incapaces afiliacion a IAMC X 2</t>
  </si>
  <si>
    <t>Lo incorporo en la escala a partir del segundo tramo de deducción</t>
  </si>
  <si>
    <t>o lo que es lo mismo le sumo 69 BPC al monto total de deducciones</t>
  </si>
  <si>
    <t>Aportes a DISSE Y FRL</t>
  </si>
  <si>
    <t>Fondo de Solidaridad</t>
  </si>
  <si>
    <t>IAMC Hijos</t>
  </si>
  <si>
    <t>Número de Hijos</t>
  </si>
  <si>
    <t>Deducciones</t>
  </si>
  <si>
    <t>Total deducciones</t>
  </si>
  <si>
    <t>Tope de aportación</t>
  </si>
  <si>
    <t>Hasta$</t>
  </si>
  <si>
    <t>+</t>
  </si>
  <si>
    <t xml:space="preserve">Escalas de Renta Anual computable </t>
  </si>
  <si>
    <t>Deducible comprobación</t>
  </si>
  <si>
    <t>al correr las escalas</t>
  </si>
  <si>
    <t>tramos para manter la</t>
  </si>
  <si>
    <t>diferencia en BPC</t>
  </si>
  <si>
    <t>IAMC Hijos c/incapacidad</t>
  </si>
  <si>
    <t>Hijos c/incapacidad</t>
  </si>
  <si>
    <t>IRPF Deducción</t>
  </si>
  <si>
    <t>IRPF Bruto</t>
  </si>
  <si>
    <t>debo redefinir los los</t>
  </si>
  <si>
    <t>IRPF a Pagar</t>
  </si>
  <si>
    <t>Ingreso Datos</t>
  </si>
  <si>
    <t>Valor de la UI</t>
  </si>
  <si>
    <t>Remuneración Bruta Anual</t>
  </si>
  <si>
    <t>Remuneración mensual sujeta a montepío (Sueldo Nominal)</t>
  </si>
  <si>
    <t>Otros Datos</t>
  </si>
  <si>
    <t>Valor de la BPC</t>
  </si>
  <si>
    <t>Impuesto $</t>
  </si>
  <si>
    <t>Deducción $</t>
  </si>
  <si>
    <t>Total Impuesto antes de deducciones</t>
  </si>
  <si>
    <t>Total Deducciones</t>
  </si>
  <si>
    <t>Monto Bruto Anual</t>
  </si>
  <si>
    <t>Deducciones Art. 38</t>
  </si>
  <si>
    <t>Partidas exentas</t>
  </si>
  <si>
    <t>Sueldo Líquido</t>
  </si>
  <si>
    <t>Ingrese sus datos</t>
  </si>
  <si>
    <t>Sueldo Nominal Trabajo principal</t>
  </si>
  <si>
    <t xml:space="preserve">Sueldo Nominal Segundo Trabajo </t>
  </si>
  <si>
    <t>Honorarios Profesionales</t>
  </si>
  <si>
    <t xml:space="preserve">Jubilación </t>
  </si>
  <si>
    <t>Jubilación 2da.</t>
  </si>
  <si>
    <t>Pension</t>
  </si>
  <si>
    <t>Jubilaciones y Pensiones</t>
  </si>
  <si>
    <t>Alquiler</t>
  </si>
  <si>
    <t>Honorarios Profesionales mensuales promedio</t>
  </si>
  <si>
    <t>Privado</t>
  </si>
  <si>
    <t>Público</t>
  </si>
  <si>
    <t xml:space="preserve">Sueldo Nominal Tercer Trabajo </t>
  </si>
  <si>
    <t>por separado. Ejemplo, ingrese cada cargo docente por separado.</t>
  </si>
  <si>
    <t>Jubilación 3ra.</t>
  </si>
  <si>
    <t>Pension 2da.</t>
  </si>
  <si>
    <t>Otros ingresos por pasividades</t>
  </si>
  <si>
    <t>Otros ingresos por trabajo gravados</t>
  </si>
  <si>
    <t>Años desde que se recibió</t>
  </si>
  <si>
    <t>Inscripto en AFAP</t>
  </si>
  <si>
    <t>(1 - Si, 0 - NO)</t>
  </si>
  <si>
    <t>Usted Pagará</t>
  </si>
  <si>
    <t>anual</t>
  </si>
  <si>
    <t>Alquiler mensual</t>
  </si>
  <si>
    <t>Si usted es profesional y percibe ingresos por su actuación independiente, complete los siguientes datos.</t>
  </si>
  <si>
    <t>Valor Descuento de Salud</t>
  </si>
  <si>
    <t>Sueldos Fictos Patronales por los cuáles aporta al BPS</t>
  </si>
  <si>
    <t>Tope de aportación BPS</t>
  </si>
  <si>
    <t>Salud jubilado, pensionista</t>
  </si>
  <si>
    <t>Número de Hijos Discapacitados</t>
  </si>
  <si>
    <t>Número de Hijos menores de 18 años</t>
  </si>
  <si>
    <t>Aportes Caja Profesional</t>
  </si>
  <si>
    <t>Aportes al BPS y otros</t>
  </si>
  <si>
    <t>Categorias de profesionales</t>
  </si>
  <si>
    <t>1ra especial</t>
  </si>
  <si>
    <t>FRL</t>
  </si>
  <si>
    <t>Cuota</t>
  </si>
  <si>
    <t>Total</t>
  </si>
  <si>
    <t>Categoría por la cual aporta a la CJPU **</t>
  </si>
  <si>
    <t xml:space="preserve"> ** en caso de estar en la primera especial escriba 1ra especial</t>
  </si>
  <si>
    <t>Duración de la Carrera</t>
  </si>
  <si>
    <t>NOTAS: a) Si usted recibe más de un salario por un mismo trabajo, ingrese cada uno</t>
  </si>
  <si>
    <t xml:space="preserve">             b) Si usted es empleado público y cobra salario vacacional, ingrese su salario</t>
  </si>
  <si>
    <t>como si fuera del sector privado.</t>
  </si>
  <si>
    <t>El monto a pagar es aproximado, pudiendo variar levemente de acuerdo a su situación particular</t>
  </si>
  <si>
    <t>Partidas Exentas (tickets alimentación, transporte, 222, etc) 12 meses</t>
  </si>
  <si>
    <t>Partidas Exentas (tickets alimentación, transporte, 222, etc) 13 meses</t>
  </si>
  <si>
    <t xml:space="preserve">                 o la adquisición de servicios o bien recibe ropa o uniforme de trabajo, debe incluir</t>
  </si>
  <si>
    <t xml:space="preserve">             c) Si usted recibe otros beneficios como emergencia móvil para usted y familiares, </t>
  </si>
  <si>
    <t xml:space="preserve">                 si le abonan la cuota de algún club deportivo, recibe vales para la compra de </t>
  </si>
  <si>
    <t xml:space="preserve">                 el valor estimado por mes en partidas exentas 12 meses.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</si>
</sst>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.0"/>
    <numFmt numFmtId="173" formatCode="0.0"/>
    <numFmt numFmtId="174" formatCode="0.0%"/>
    <numFmt numFmtId="175" formatCode="#,##0.000"/>
    <numFmt numFmtId="176" formatCode="#,##0.0000"/>
  </numFmts>
  <fonts count="1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3" borderId="8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3" fillId="3" borderId="2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3" fontId="0" fillId="3" borderId="18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" borderId="20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Alignment="1">
      <alignment/>
    </xf>
    <xf numFmtId="3" fontId="8" fillId="2" borderId="0" xfId="0" applyNumberFormat="1" applyFont="1" applyFill="1" applyAlignment="1" applyProtection="1">
      <alignment/>
      <protection hidden="1"/>
    </xf>
    <xf numFmtId="3" fontId="3" fillId="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6" fillId="5" borderId="0" xfId="0" applyFont="1" applyFill="1" applyAlignment="1">
      <alignment/>
    </xf>
    <xf numFmtId="0" fontId="3" fillId="6" borderId="0" xfId="0" applyFont="1" applyFill="1" applyAlignment="1">
      <alignment/>
    </xf>
    <xf numFmtId="3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25</xdr:row>
      <xdr:rowOff>76200</xdr:rowOff>
    </xdr:from>
    <xdr:to>
      <xdr:col>5</xdr:col>
      <xdr:colOff>685800</xdr:colOff>
      <xdr:row>25</xdr:row>
      <xdr:rowOff>76200</xdr:rowOff>
    </xdr:to>
    <xdr:sp>
      <xdr:nvSpPr>
        <xdr:cNvPr id="1" name="Line 3"/>
        <xdr:cNvSpPr>
          <a:spLocks/>
        </xdr:cNvSpPr>
      </xdr:nvSpPr>
      <xdr:spPr>
        <a:xfrm>
          <a:off x="3867150" y="4124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47625</xdr:rowOff>
    </xdr:from>
    <xdr:to>
      <xdr:col>5</xdr:col>
      <xdr:colOff>561975</xdr:colOff>
      <xdr:row>23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3838575" y="533400"/>
          <a:ext cx="523875" cy="3295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1</v>
      </c>
      <c r="B1">
        <v>1480</v>
      </c>
    </row>
    <row r="2" spans="1:2" ht="12.75">
      <c r="A2" t="s">
        <v>5</v>
      </c>
      <c r="B2">
        <v>1.5284</v>
      </c>
    </row>
    <row r="4" spans="1:4" ht="12.75">
      <c r="A4" s="75" t="s">
        <v>0</v>
      </c>
      <c r="B4" s="75"/>
      <c r="C4" s="75"/>
      <c r="D4" s="75"/>
    </row>
    <row r="5" spans="1:4" ht="12.75">
      <c r="A5" s="4" t="s">
        <v>2</v>
      </c>
      <c r="B5" s="4" t="s">
        <v>3</v>
      </c>
      <c r="C5" s="4" t="s">
        <v>4</v>
      </c>
      <c r="D5" s="4" t="s">
        <v>6</v>
      </c>
    </row>
    <row r="6" spans="1:4" ht="12.75">
      <c r="A6" s="5">
        <v>0</v>
      </c>
      <c r="B6" s="5">
        <v>60</v>
      </c>
      <c r="C6" s="2">
        <f>+A6</f>
        <v>0</v>
      </c>
      <c r="D6" s="1" t="s">
        <v>7</v>
      </c>
    </row>
    <row r="7" spans="1:4" ht="12.75">
      <c r="A7" s="5">
        <v>60</v>
      </c>
      <c r="B7" s="5">
        <v>120</v>
      </c>
      <c r="C7" s="2">
        <f>+A7*$B$1</f>
        <v>88800</v>
      </c>
      <c r="D7" s="3">
        <v>0.1</v>
      </c>
    </row>
    <row r="8" spans="1:4" ht="12.75">
      <c r="A8" s="5">
        <v>120</v>
      </c>
      <c r="B8" s="5">
        <v>180</v>
      </c>
      <c r="C8" s="2">
        <f>+A8*$B$1</f>
        <v>177600</v>
      </c>
      <c r="D8" s="3">
        <v>0.15</v>
      </c>
    </row>
    <row r="9" spans="1:4" ht="12.75">
      <c r="A9" s="5">
        <v>180</v>
      </c>
      <c r="B9" s="5">
        <v>600</v>
      </c>
      <c r="C9" s="2">
        <f>+A9*$B$1</f>
        <v>266400</v>
      </c>
      <c r="D9" s="3">
        <v>0.2</v>
      </c>
    </row>
    <row r="10" spans="1:4" ht="12.75">
      <c r="A10" s="5">
        <v>600</v>
      </c>
      <c r="B10" s="5">
        <v>1200</v>
      </c>
      <c r="C10" s="2">
        <f>+A10*$B$1</f>
        <v>888000</v>
      </c>
      <c r="D10" s="3">
        <v>0.22</v>
      </c>
    </row>
    <row r="11" spans="1:4" ht="12.75">
      <c r="A11" s="5">
        <v>1200</v>
      </c>
      <c r="B11" s="5"/>
      <c r="C11" s="2">
        <f>+A11*$B$1</f>
        <v>1776000</v>
      </c>
      <c r="D11" s="3">
        <v>0.25</v>
      </c>
    </row>
    <row r="14" ht="12.75">
      <c r="A14" t="s">
        <v>8</v>
      </c>
    </row>
    <row r="15" ht="12.75">
      <c r="A15" t="s">
        <v>11</v>
      </c>
    </row>
    <row r="16" ht="12.75">
      <c r="A16" t="s">
        <v>9</v>
      </c>
    </row>
    <row r="17" ht="12.75">
      <c r="A17" t="s">
        <v>10</v>
      </c>
    </row>
    <row r="19" ht="12.75">
      <c r="A19" t="s">
        <v>12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17</v>
      </c>
    </row>
    <row r="26" ht="12.75">
      <c r="A26" t="s">
        <v>18</v>
      </c>
    </row>
    <row r="27" ht="12.75">
      <c r="A27" t="s">
        <v>19</v>
      </c>
    </row>
  </sheetData>
  <mergeCells count="1">
    <mergeCell ref="A4:D4"/>
  </mergeCell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1.57421875" style="0" customWidth="1"/>
    <col min="2" max="2" width="13.57421875" style="0" customWidth="1"/>
  </cols>
  <sheetData>
    <row r="1" ht="26.25">
      <c r="A1" s="71" t="s">
        <v>54</v>
      </c>
    </row>
    <row r="2" spans="1:3" ht="13.5" thickBot="1">
      <c r="A2" s="53"/>
      <c r="B2" s="53"/>
      <c r="C2" s="53"/>
    </row>
    <row r="3" spans="1:3" ht="13.5" thickBot="1">
      <c r="A3" s="69" t="s">
        <v>95</v>
      </c>
      <c r="B3" s="70"/>
      <c r="C3" s="70"/>
    </row>
    <row r="4" spans="1:3" ht="13.5" thickBot="1">
      <c r="A4" s="69" t="s">
        <v>67</v>
      </c>
      <c r="B4" s="70"/>
      <c r="C4" s="70"/>
    </row>
    <row r="5" spans="1:3" ht="13.5" thickBot="1">
      <c r="A5" s="69" t="s">
        <v>96</v>
      </c>
      <c r="B5" s="70"/>
      <c r="C5" s="70"/>
    </row>
    <row r="6" spans="1:3" ht="13.5" thickBot="1">
      <c r="A6" s="69" t="s">
        <v>97</v>
      </c>
      <c r="B6" s="70"/>
      <c r="C6" s="70"/>
    </row>
    <row r="7" spans="1:3" ht="13.5" thickBot="1">
      <c r="A7" s="69" t="s">
        <v>102</v>
      </c>
      <c r="B7" s="70"/>
      <c r="C7" s="70"/>
    </row>
    <row r="8" spans="1:3" ht="13.5" thickBot="1">
      <c r="A8" s="69" t="s">
        <v>103</v>
      </c>
      <c r="B8" s="70"/>
      <c r="C8" s="70"/>
    </row>
    <row r="9" spans="1:3" ht="13.5" thickBot="1">
      <c r="A9" s="69" t="s">
        <v>101</v>
      </c>
      <c r="B9" s="70"/>
      <c r="C9" s="70"/>
    </row>
    <row r="10" spans="1:3" ht="13.5" thickBot="1">
      <c r="A10" s="69" t="s">
        <v>104</v>
      </c>
      <c r="B10" s="70"/>
      <c r="C10" s="70"/>
    </row>
    <row r="11" spans="1:3" ht="13.5" thickBot="1">
      <c r="A11" s="54"/>
      <c r="B11" s="55" t="s">
        <v>64</v>
      </c>
      <c r="C11" s="55" t="s">
        <v>65</v>
      </c>
    </row>
    <row r="12" spans="1:3" ht="12.75">
      <c r="A12" s="56" t="s">
        <v>55</v>
      </c>
      <c r="B12" s="57"/>
      <c r="C12" s="57"/>
    </row>
    <row r="13" spans="1:3" ht="12.75">
      <c r="A13" s="58" t="s">
        <v>56</v>
      </c>
      <c r="B13" s="59"/>
      <c r="C13" s="59"/>
    </row>
    <row r="14" spans="1:3" ht="12.75">
      <c r="A14" s="58" t="s">
        <v>66</v>
      </c>
      <c r="B14" s="59"/>
      <c r="C14" s="59"/>
    </row>
    <row r="15" spans="1:3" ht="12.75">
      <c r="A15" s="58" t="s">
        <v>80</v>
      </c>
      <c r="B15" s="59"/>
      <c r="C15" s="59"/>
    </row>
    <row r="16" spans="1:3" ht="12.75">
      <c r="A16" s="58" t="s">
        <v>71</v>
      </c>
      <c r="B16" s="59"/>
      <c r="C16" s="59"/>
    </row>
    <row r="17" spans="1:3" ht="12.75">
      <c r="A17" s="58" t="s">
        <v>99</v>
      </c>
      <c r="B17" s="59"/>
      <c r="C17" s="59"/>
    </row>
    <row r="18" spans="1:3" ht="12.75">
      <c r="A18" s="58" t="s">
        <v>100</v>
      </c>
      <c r="B18" s="59"/>
      <c r="C18" s="59"/>
    </row>
    <row r="19" spans="1:3" ht="12.75">
      <c r="A19" s="58" t="s">
        <v>63</v>
      </c>
      <c r="B19" s="59"/>
      <c r="C19" s="59"/>
    </row>
    <row r="20" spans="1:3" ht="12.75">
      <c r="A20" s="58" t="s">
        <v>58</v>
      </c>
      <c r="B20" s="59"/>
      <c r="C20" s="59"/>
    </row>
    <row r="21" spans="1:3" ht="12.75">
      <c r="A21" s="58" t="s">
        <v>59</v>
      </c>
      <c r="B21" s="59"/>
      <c r="C21" s="59"/>
    </row>
    <row r="22" spans="1:3" ht="12.75">
      <c r="A22" s="58" t="s">
        <v>68</v>
      </c>
      <c r="B22" s="59"/>
      <c r="C22" s="59"/>
    </row>
    <row r="23" spans="1:3" ht="12.75">
      <c r="A23" s="58" t="s">
        <v>60</v>
      </c>
      <c r="B23" s="59"/>
      <c r="C23" s="59"/>
    </row>
    <row r="24" spans="1:3" ht="12.75">
      <c r="A24" s="58" t="s">
        <v>69</v>
      </c>
      <c r="B24" s="59"/>
      <c r="C24" s="59"/>
    </row>
    <row r="25" spans="1:3" ht="12.75">
      <c r="A25" s="58" t="s">
        <v>70</v>
      </c>
      <c r="B25" s="59"/>
      <c r="C25" s="59"/>
    </row>
    <row r="26" spans="1:3" ht="12.75">
      <c r="A26" s="58" t="s">
        <v>77</v>
      </c>
      <c r="B26" s="59"/>
      <c r="C26" s="59"/>
    </row>
    <row r="30" spans="1:2" ht="12.75">
      <c r="A30" t="s">
        <v>84</v>
      </c>
      <c r="B30" s="63"/>
    </row>
    <row r="33" spans="1:2" ht="12.75">
      <c r="A33" t="s">
        <v>83</v>
      </c>
      <c r="B33" s="52"/>
    </row>
    <row r="34" ht="12.75">
      <c r="B34" s="62"/>
    </row>
    <row r="35" spans="1:2" ht="12.75">
      <c r="A35" t="s">
        <v>81</v>
      </c>
      <c r="B35" s="66">
        <v>45562</v>
      </c>
    </row>
    <row r="36" spans="1:2" ht="12.75">
      <c r="A36" t="s">
        <v>41</v>
      </c>
      <c r="B36" s="63">
        <v>1.645</v>
      </c>
    </row>
    <row r="37" spans="1:2" ht="12.75">
      <c r="A37" t="s">
        <v>45</v>
      </c>
      <c r="B37" s="66">
        <v>1636</v>
      </c>
    </row>
    <row r="38" ht="12.75">
      <c r="B38" s="62"/>
    </row>
    <row r="39" spans="1:3" ht="12.75">
      <c r="A39" t="s">
        <v>73</v>
      </c>
      <c r="B39" s="63">
        <v>1</v>
      </c>
      <c r="C39" t="s">
        <v>74</v>
      </c>
    </row>
    <row r="41" ht="12.75">
      <c r="A41" s="61" t="s">
        <v>78</v>
      </c>
    </row>
    <row r="43" spans="1:2" ht="12.75">
      <c r="A43" t="s">
        <v>72</v>
      </c>
      <c r="B43" s="63"/>
    </row>
    <row r="44" spans="1:2" ht="12.75">
      <c r="A44" t="s">
        <v>94</v>
      </c>
      <c r="B44" s="63"/>
    </row>
    <row r="45" spans="1:2" ht="12.75">
      <c r="A45" t="s">
        <v>92</v>
      </c>
      <c r="B45" s="63"/>
    </row>
    <row r="46" ht="12.75">
      <c r="B46" s="67"/>
    </row>
    <row r="47" spans="1:2" ht="12.75">
      <c r="A47" s="68" t="s">
        <v>93</v>
      </c>
      <c r="B47" s="67"/>
    </row>
    <row r="49" spans="1:3" ht="20.25">
      <c r="A49" s="64" t="s">
        <v>75</v>
      </c>
      <c r="B49" s="65">
        <f>IF(Resultado!E15&gt;0,Resultado!E15,0)</f>
        <v>0</v>
      </c>
      <c r="C49" s="61" t="s">
        <v>76</v>
      </c>
    </row>
    <row r="51" spans="1:4" ht="12.75">
      <c r="A51" s="72" t="s">
        <v>98</v>
      </c>
      <c r="B51" s="73"/>
      <c r="C51" s="74"/>
      <c r="D51" s="74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0" bestFit="1" customWidth="1"/>
    <col min="3" max="3" width="5.7109375" style="0" customWidth="1"/>
    <col min="4" max="4" width="23.28125" style="0" customWidth="1"/>
    <col min="6" max="6" width="12.28125" style="0" bestFit="1" customWidth="1"/>
  </cols>
  <sheetData>
    <row r="1" ht="12.75">
      <c r="F1" s="1"/>
    </row>
    <row r="2" spans="1:7" ht="25.5">
      <c r="A2" s="76" t="s">
        <v>40</v>
      </c>
      <c r="B2" s="77"/>
      <c r="D2" s="20" t="s">
        <v>42</v>
      </c>
      <c r="E2" s="14">
        <f>(SUM('Ingreso de datos'!B12:B14)+'Ingreso de datos'!B16)*13.55+'Ingreso de datos'!B18*13+'Ingreso de datos'!B17*12+'Ingreso de datos'!B15*12+(SUM('Ingreso de datos'!C12:C14)+'Ingreso de datos'!C16)*13+'Ingreso de datos'!C18*13+'Ingreso de datos'!C17*12+(B5+B6)*12+'Ingreso de datos'!C15*12</f>
        <v>0</v>
      </c>
      <c r="F2" s="6"/>
      <c r="G2" s="6"/>
    </row>
    <row r="3" spans="1:5" ht="38.25">
      <c r="A3" s="45" t="s">
        <v>43</v>
      </c>
      <c r="B3" s="46">
        <f>SUM('Ingreso de datos'!B12:B16)+SUM('Ingreso de datos'!C12:C16)</f>
        <v>0</v>
      </c>
      <c r="D3" s="47" t="s">
        <v>24</v>
      </c>
      <c r="E3" s="48"/>
    </row>
    <row r="4" spans="1:10" ht="12.75">
      <c r="A4" s="50" t="s">
        <v>52</v>
      </c>
      <c r="B4" s="46">
        <f>'Ingreso de datos'!B18+'Ingreso de datos'!C18+'Ingreso de datos'!B17+'Ingreso de datos'!C17</f>
        <v>0</v>
      </c>
      <c r="D4" s="18" t="s">
        <v>86</v>
      </c>
      <c r="E4" s="17">
        <f>IF('Ingreso de datos'!B39=1,Resultado!J4,Resultado!J5)</f>
        <v>0</v>
      </c>
      <c r="J4" s="19">
        <f>(SUM('Ingreso de datos'!B12:B16)+SUM('Ingreso de datos'!C12:C16))*13*0.15-IF(SUM('Ingreso de datos'!B12:B16)+SUM('Ingreso de datos'!C12:C16)&gt;B13,(SUM('Ingreso de datos'!B12:B16)+SUM('Ingreso de datos'!C12:C16)-B13)*13*0.15,0)</f>
        <v>0</v>
      </c>
    </row>
    <row r="5" spans="1:10" ht="12.75">
      <c r="A5" s="51" t="s">
        <v>61</v>
      </c>
      <c r="B5" s="46">
        <f>SUM('Ingreso de datos'!B20:B25)+SUM('Ingreso de datos'!C20:C25)</f>
        <v>0</v>
      </c>
      <c r="D5" s="18" t="s">
        <v>20</v>
      </c>
      <c r="E5" s="19">
        <f>(SUM('Ingreso de datos'!B12:B14)+'Ingreso de datos'!B16)*(0.03+0.00125)*13</f>
        <v>0</v>
      </c>
      <c r="J5" s="7">
        <f>(SUM('Ingreso de datos'!B12:B16)+SUM('Ingreso de datos'!C12:C16))*13*0.15</f>
        <v>0</v>
      </c>
    </row>
    <row r="6" spans="1:5" ht="12.75">
      <c r="A6" s="51" t="s">
        <v>57</v>
      </c>
      <c r="B6" s="46">
        <f>('Ingreso de datos'!B19+'Ingreso de datos'!C19)*0.7</f>
        <v>0</v>
      </c>
      <c r="D6" s="18" t="s">
        <v>21</v>
      </c>
      <c r="E6" s="19" t="b">
        <f>IF('Ingreso de datos'!B43&gt;4,IF(('Ingreso de datos'!B19+'Ingreso de datos'!C19)&gt;4*Resultado!B15,IF('Ingreso de datos'!B44&gt;4,5/3*Resultado!B15,IF('Ingreso de datos'!B44=4,Resultado!B15,0.5*Resultado!B15))))</f>
        <v>0</v>
      </c>
    </row>
    <row r="7" spans="1:10" ht="12.75">
      <c r="A7" s="49" t="s">
        <v>62</v>
      </c>
      <c r="B7" s="46">
        <f>'Ingreso de datos'!B26</f>
        <v>0</v>
      </c>
      <c r="D7" s="18" t="s">
        <v>85</v>
      </c>
      <c r="E7" s="19">
        <f>(J23+J24)*12</f>
        <v>0</v>
      </c>
      <c r="J7">
        <f>IF((SUM('Ingreso de datos'!B20:B25)+SUM('Ingreso de datos'!C20:C25))&gt;0,0,1)</f>
        <v>1</v>
      </c>
    </row>
    <row r="8" spans="1:5" ht="12.75">
      <c r="A8" s="13" t="s">
        <v>23</v>
      </c>
      <c r="B8" s="21">
        <f>'Ingreso de datos'!B30</f>
        <v>0</v>
      </c>
      <c r="D8" s="18" t="s">
        <v>82</v>
      </c>
      <c r="E8" s="19">
        <f>IF(J7=1,0,IF((SUM('Ingreso de datos'!B20:B25)+SUM('Ingreso de datos'!C20:C25))&gt;0,B15*12,0))</f>
        <v>0</v>
      </c>
    </row>
    <row r="9" spans="1:10" ht="12.75">
      <c r="A9" s="13" t="s">
        <v>35</v>
      </c>
      <c r="B9" s="21">
        <f>'Ingreso de datos'!B33</f>
        <v>0</v>
      </c>
      <c r="D9" s="18" t="s">
        <v>22</v>
      </c>
      <c r="E9" s="19">
        <f>+MIN(B14*8000*B8,B8*B12)*12</f>
        <v>0</v>
      </c>
      <c r="J9" t="s">
        <v>87</v>
      </c>
    </row>
    <row r="10" spans="4:13" ht="12.75">
      <c r="D10" s="18" t="s">
        <v>34</v>
      </c>
      <c r="E10" s="19">
        <f>+MIN(B14*8000*B9,B9*B12)*12*(2)</f>
        <v>0</v>
      </c>
      <c r="K10" t="s">
        <v>90</v>
      </c>
      <c r="L10" t="s">
        <v>89</v>
      </c>
      <c r="M10" t="s">
        <v>91</v>
      </c>
    </row>
    <row r="11" spans="1:13" ht="15.75">
      <c r="A11" s="43" t="s">
        <v>44</v>
      </c>
      <c r="B11" s="44"/>
      <c r="D11" s="15" t="s">
        <v>25</v>
      </c>
      <c r="E11" s="14">
        <f>SUM(E4:E9)</f>
        <v>0</v>
      </c>
      <c r="F11" s="7"/>
      <c r="J11" t="s">
        <v>88</v>
      </c>
      <c r="K11" s="7">
        <v>543.3775</v>
      </c>
      <c r="L11" s="7">
        <v>6.6225</v>
      </c>
      <c r="M11" s="7">
        <f>K11+L11</f>
        <v>550</v>
      </c>
    </row>
    <row r="12" spans="1:13" ht="12.75">
      <c r="A12" s="16" t="s">
        <v>79</v>
      </c>
      <c r="B12" s="17">
        <f>B15*6.5/12</f>
        <v>886.1666666666666</v>
      </c>
      <c r="J12">
        <v>1</v>
      </c>
      <c r="K12" s="7">
        <v>980.3775</v>
      </c>
      <c r="L12" s="7">
        <v>6.6225</v>
      </c>
      <c r="M12" s="7">
        <f aca="true" t="shared" si="0" ref="M12:M21">K12+L12</f>
        <v>987</v>
      </c>
    </row>
    <row r="13" spans="1:13" ht="12.75">
      <c r="A13" s="18" t="s">
        <v>26</v>
      </c>
      <c r="B13" s="19">
        <f>'Ingreso de datos'!B35</f>
        <v>45562</v>
      </c>
      <c r="D13" s="16" t="s">
        <v>37</v>
      </c>
      <c r="E13" s="17">
        <f>+'DETERMINACION IMPUESTO'!E13+B7*12*0.12</f>
        <v>0</v>
      </c>
      <c r="J13">
        <v>2</v>
      </c>
      <c r="K13" s="7">
        <v>1821.38875</v>
      </c>
      <c r="L13" s="7">
        <v>12.61125</v>
      </c>
      <c r="M13" s="7">
        <f t="shared" si="0"/>
        <v>1834</v>
      </c>
    </row>
    <row r="14" spans="1:13" ht="12.75">
      <c r="A14" s="18" t="s">
        <v>41</v>
      </c>
      <c r="B14" s="37">
        <f>'Ingreso de datos'!B36</f>
        <v>1.645</v>
      </c>
      <c r="D14" s="18" t="s">
        <v>36</v>
      </c>
      <c r="E14" s="19">
        <f>-'DETERMINACION IMPUESTO'!E24</f>
        <v>0</v>
      </c>
      <c r="J14">
        <v>3</v>
      </c>
      <c r="K14" s="7">
        <v>2658.03875</v>
      </c>
      <c r="L14" s="7">
        <v>17.96125</v>
      </c>
      <c r="M14" s="7">
        <f t="shared" si="0"/>
        <v>2676</v>
      </c>
    </row>
    <row r="15" spans="1:13" ht="12.75">
      <c r="A15" s="38" t="s">
        <v>45</v>
      </c>
      <c r="B15" s="39">
        <f>'Ingreso de datos'!B37</f>
        <v>1636</v>
      </c>
      <c r="D15" s="40" t="s">
        <v>39</v>
      </c>
      <c r="E15" s="41">
        <f>+E13+E14</f>
        <v>0</v>
      </c>
      <c r="J15">
        <v>4</v>
      </c>
      <c r="K15" s="7">
        <v>3343.41</v>
      </c>
      <c r="L15" s="7">
        <v>22.59</v>
      </c>
      <c r="M15" s="7">
        <f t="shared" si="0"/>
        <v>3366</v>
      </c>
    </row>
    <row r="16" spans="1:13" ht="12.75">
      <c r="A16" s="60"/>
      <c r="B16" s="7"/>
      <c r="J16">
        <v>5</v>
      </c>
      <c r="K16" s="7">
        <v>3920.50875</v>
      </c>
      <c r="L16" s="7">
        <v>26.49125</v>
      </c>
      <c r="M16" s="7">
        <f t="shared" si="0"/>
        <v>3947</v>
      </c>
    </row>
    <row r="17" spans="10:13" ht="12.75">
      <c r="J17">
        <v>6</v>
      </c>
      <c r="K17" s="7">
        <v>4393.31625</v>
      </c>
      <c r="L17" s="7">
        <v>29.68375</v>
      </c>
      <c r="M17" s="7">
        <f t="shared" si="0"/>
        <v>4423</v>
      </c>
    </row>
    <row r="18" spans="10:13" ht="12.75">
      <c r="J18">
        <v>7</v>
      </c>
      <c r="K18" s="7">
        <v>4801.55625</v>
      </c>
      <c r="L18" s="7">
        <v>32.44375</v>
      </c>
      <c r="M18" s="7">
        <f t="shared" si="0"/>
        <v>4834</v>
      </c>
    </row>
    <row r="19" spans="10:13" ht="12.75">
      <c r="J19">
        <v>8</v>
      </c>
      <c r="K19" s="7">
        <v>5109.47375</v>
      </c>
      <c r="L19" s="7">
        <v>34.52625</v>
      </c>
      <c r="M19" s="7">
        <f t="shared" si="0"/>
        <v>5144</v>
      </c>
    </row>
    <row r="20" spans="10:13" ht="12.75">
      <c r="J20">
        <v>9</v>
      </c>
      <c r="K20" s="7">
        <v>5338.9</v>
      </c>
      <c r="L20" s="7">
        <v>36.1</v>
      </c>
      <c r="M20" s="7">
        <f t="shared" si="0"/>
        <v>5375</v>
      </c>
    </row>
    <row r="21" spans="10:13" ht="12.75">
      <c r="J21">
        <v>10</v>
      </c>
      <c r="K21" s="7">
        <v>5479.97125</v>
      </c>
      <c r="L21" s="7">
        <v>37.02875</v>
      </c>
      <c r="M21" s="7">
        <f t="shared" si="0"/>
        <v>5517</v>
      </c>
    </row>
    <row r="22" ht="12.75">
      <c r="B22" s="7"/>
    </row>
    <row r="23" spans="2:10" ht="12.75">
      <c r="B23" s="7"/>
      <c r="J23">
        <f>IF('Ingreso de datos'!B45=Resultado!J11,Resultado!M11,IF('Ingreso de datos'!B45=Resultado!J12,Resultado!M12,IF('Ingreso de datos'!B45=Resultado!J13,Resultado!M13,IF('Ingreso de datos'!B45=Resultado!J14,Resultado!M14,IF('Ingreso de datos'!B45=Resultado!J15,Resultado!M15,IF('Ingreso de datos'!B45=Resultado!J16,Resultado!M16,IF('Ingreso de datos'!B45=Resultado!J17,Resultado!M17,IF('Ingreso de datos'!B45=Resultado!J18,Resultado!M18,0))))))))</f>
        <v>0</v>
      </c>
    </row>
    <row r="24" spans="2:10" ht="12.75">
      <c r="B24" s="7"/>
      <c r="J24">
        <f>IF('Ingreso de datos'!B45=Resultado!J19,Resultado!M19,IF('Ingreso de datos'!B45=Resultado!J20,Resultado!M20,IF('Ingreso de datos'!B45=Resultado!J21,Resultado!M21,0)))</f>
        <v>0</v>
      </c>
    </row>
    <row r="27" spans="1:2" ht="12.75">
      <c r="A27" t="s">
        <v>53</v>
      </c>
      <c r="B27" s="7">
        <f>IF(B3&gt;B15*6,B3*0.76+B4,IF(B3&lt;=B15*3,B3*0.82+B4,B3*0.8+B4))</f>
        <v>0</v>
      </c>
    </row>
  </sheetData>
  <mergeCells count="1">
    <mergeCell ref="A2:B2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105" zoomScaleNormal="105" workbookViewId="0" topLeftCell="A1">
      <selection activeCell="G8" sqref="G8"/>
    </sheetView>
  </sheetViews>
  <sheetFormatPr defaultColWidth="11.421875" defaultRowHeight="12.75"/>
  <cols>
    <col min="5" max="5" width="11.28125" style="7" bestFit="1" customWidth="1"/>
  </cols>
  <sheetData>
    <row r="1" spans="1:2" ht="12.75">
      <c r="A1" t="s">
        <v>1</v>
      </c>
      <c r="B1" s="7">
        <f>Resultado!B15</f>
        <v>1636</v>
      </c>
    </row>
    <row r="2" spans="1:2" ht="12.75">
      <c r="A2" t="s">
        <v>5</v>
      </c>
      <c r="B2">
        <f>Resultado!B14</f>
        <v>1.645</v>
      </c>
    </row>
    <row r="3" ht="12.75"/>
    <row r="4" spans="1:5" ht="12.75">
      <c r="A4" s="84" t="s">
        <v>50</v>
      </c>
      <c r="B4" s="85"/>
      <c r="C4" s="85"/>
      <c r="D4" s="86"/>
      <c r="E4" s="36">
        <f>+Resultado!E2</f>
        <v>0</v>
      </c>
    </row>
    <row r="5" spans="1:10" ht="12.75">
      <c r="A5" s="78" t="s">
        <v>29</v>
      </c>
      <c r="B5" s="79"/>
      <c r="C5" s="79"/>
      <c r="D5" s="79"/>
      <c r="E5" s="80"/>
      <c r="G5" s="7"/>
      <c r="H5" s="7"/>
      <c r="I5" s="7"/>
      <c r="J5" s="7"/>
    </row>
    <row r="6" spans="1:10" ht="12.75">
      <c r="A6" s="4" t="s">
        <v>2</v>
      </c>
      <c r="B6" s="4" t="s">
        <v>3</v>
      </c>
      <c r="C6" s="4" t="s">
        <v>27</v>
      </c>
      <c r="D6" s="4" t="s">
        <v>6</v>
      </c>
      <c r="E6" s="33" t="s">
        <v>46</v>
      </c>
      <c r="G6" s="8"/>
      <c r="H6" s="8"/>
      <c r="I6" s="8"/>
      <c r="J6" s="8"/>
    </row>
    <row r="7" spans="1:5" ht="12.75">
      <c r="A7" s="23">
        <v>0</v>
      </c>
      <c r="B7" s="23">
        <v>60</v>
      </c>
      <c r="C7" s="26">
        <f>+B7*$B$1</f>
        <v>98160</v>
      </c>
      <c r="D7" s="29">
        <v>0</v>
      </c>
      <c r="E7" s="26">
        <f>+IF(E4&lt;=C7,E4*D7,0)</f>
        <v>0</v>
      </c>
    </row>
    <row r="8" spans="1:7" ht="12.75">
      <c r="A8" s="24">
        <v>60</v>
      </c>
      <c r="B8" s="24">
        <v>120</v>
      </c>
      <c r="C8" s="27">
        <f>+B8*$B$1</f>
        <v>196320</v>
      </c>
      <c r="D8" s="30">
        <v>0.1</v>
      </c>
      <c r="E8" s="27">
        <f>+IF(E4&gt;C8,(C8-C7)*D8,IF(E4&lt;=C8,IF(E4&gt;C7,(E4-C7)*D8,0)))</f>
        <v>0</v>
      </c>
      <c r="G8" s="7">
        <f>C8/12</f>
        <v>16360</v>
      </c>
    </row>
    <row r="9" spans="1:7" ht="12.75">
      <c r="A9" s="24">
        <v>120</v>
      </c>
      <c r="B9" s="24">
        <v>180</v>
      </c>
      <c r="C9" s="27">
        <f>+B9*$B$1</f>
        <v>294480</v>
      </c>
      <c r="D9" s="30">
        <v>0.15</v>
      </c>
      <c r="E9" s="27">
        <f>+IF(E4&gt;C9,(C9-C8)*D9,IF(E4&lt;=C9,IF(E4&gt;C8,(E4-C8)*D9,0)))</f>
        <v>0</v>
      </c>
      <c r="G9" s="7">
        <f>C9/12</f>
        <v>24540</v>
      </c>
    </row>
    <row r="10" spans="1:7" ht="12.75">
      <c r="A10" s="24">
        <v>180</v>
      </c>
      <c r="B10" s="24">
        <v>600</v>
      </c>
      <c r="C10" s="27">
        <f>+B10*$B$1</f>
        <v>981600</v>
      </c>
      <c r="D10" s="30">
        <v>0.2</v>
      </c>
      <c r="E10" s="27">
        <f>+IF(E4&gt;C10,(C10-C9)*D10,IF(E4&lt;=C10,IF(E4&gt;C9,(E4-C9)*D10,0)))</f>
        <v>0</v>
      </c>
      <c r="G10" s="7">
        <f>C10/12</f>
        <v>81800</v>
      </c>
    </row>
    <row r="11" spans="1:7" ht="12.75">
      <c r="A11" s="24">
        <v>600</v>
      </c>
      <c r="B11" s="24">
        <v>1200</v>
      </c>
      <c r="C11" s="27">
        <f>+B11*$B$1</f>
        <v>1963200</v>
      </c>
      <c r="D11" s="30">
        <v>0.22</v>
      </c>
      <c r="E11" s="27">
        <f>+IF(E4&gt;C11,(C11-C10)*D11,IF(E4&lt;=C11,IF(E4&gt;C10,(E4-C10)*D11,0)))</f>
        <v>0</v>
      </c>
      <c r="G11" s="7">
        <f>C11/12</f>
        <v>163600</v>
      </c>
    </row>
    <row r="12" spans="1:5" ht="12.75">
      <c r="A12" s="25">
        <v>1200</v>
      </c>
      <c r="B12" s="25" t="s">
        <v>28</v>
      </c>
      <c r="C12" s="28"/>
      <c r="D12" s="31">
        <v>0.25</v>
      </c>
      <c r="E12" s="32">
        <f>+IF(E4&gt;C11,(E4-C11)*D12,0)</f>
        <v>0</v>
      </c>
    </row>
    <row r="13" spans="1:5" ht="12.75">
      <c r="A13" s="87" t="s">
        <v>48</v>
      </c>
      <c r="B13" s="88"/>
      <c r="C13" s="88"/>
      <c r="D13" s="89"/>
      <c r="E13" s="14">
        <f>SUM(E7:E12)</f>
        <v>0</v>
      </c>
    </row>
    <row r="14" ht="12.75">
      <c r="E14" s="8"/>
    </row>
    <row r="15" spans="1:6" ht="12.75">
      <c r="A15" s="84" t="s">
        <v>51</v>
      </c>
      <c r="B15" s="85"/>
      <c r="C15" s="85"/>
      <c r="D15" s="86"/>
      <c r="E15" s="36">
        <f>+Resultado!E11+C18</f>
        <v>98160</v>
      </c>
      <c r="F15" s="7"/>
    </row>
    <row r="16" spans="1:5" ht="12.75">
      <c r="A16" s="78" t="s">
        <v>29</v>
      </c>
      <c r="B16" s="79"/>
      <c r="C16" s="79"/>
      <c r="D16" s="79"/>
      <c r="E16" s="80"/>
    </row>
    <row r="17" spans="1:5" ht="12.75">
      <c r="A17" s="34" t="s">
        <v>2</v>
      </c>
      <c r="B17" s="34" t="s">
        <v>3</v>
      </c>
      <c r="C17" s="34" t="s">
        <v>4</v>
      </c>
      <c r="D17" s="34" t="s">
        <v>6</v>
      </c>
      <c r="E17" s="22" t="s">
        <v>47</v>
      </c>
    </row>
    <row r="18" spans="1:5" ht="12.75">
      <c r="A18" s="23">
        <v>0</v>
      </c>
      <c r="B18" s="23">
        <v>60</v>
      </c>
      <c r="C18" s="26">
        <f>+B18*$B$1</f>
        <v>98160</v>
      </c>
      <c r="D18" s="29">
        <v>0</v>
      </c>
      <c r="E18" s="26">
        <f>+IF(E15&lt;=C18,E15*D18,0)</f>
        <v>0</v>
      </c>
    </row>
    <row r="19" spans="1:7" ht="12.75">
      <c r="A19" s="24">
        <v>60</v>
      </c>
      <c r="B19" s="24">
        <v>120</v>
      </c>
      <c r="C19" s="27">
        <f>+B19*$B$1</f>
        <v>196320</v>
      </c>
      <c r="D19" s="30">
        <v>0.1</v>
      </c>
      <c r="E19" s="27">
        <f>+IF(E15&gt;C19,(C19-C18)*D19,IF(E15&lt;=C19,IF(E15&gt;C18,(E15-C18)*D19,0)))</f>
        <v>0</v>
      </c>
      <c r="G19" s="7"/>
    </row>
    <row r="20" spans="1:5" ht="12.75">
      <c r="A20" s="24">
        <v>120</v>
      </c>
      <c r="B20" s="24">
        <v>180</v>
      </c>
      <c r="C20" s="27">
        <f>+B20*$B$1</f>
        <v>294480</v>
      </c>
      <c r="D20" s="30">
        <v>0.15</v>
      </c>
      <c r="E20" s="27">
        <f>+IF(E15&gt;C20,(C20-C19)*D20,IF(E15&lt;=C20,IF(E15&gt;C19,(E15-C19)*D20,0)))</f>
        <v>0</v>
      </c>
    </row>
    <row r="21" spans="1:5" ht="12.75">
      <c r="A21" s="24">
        <v>180</v>
      </c>
      <c r="B21" s="24">
        <v>600</v>
      </c>
      <c r="C21" s="27">
        <f>+B21*$B$1</f>
        <v>981600</v>
      </c>
      <c r="D21" s="30">
        <v>0.2</v>
      </c>
      <c r="E21" s="27">
        <f>+IF(E15&gt;C21,(C21-C20)*D21,IF(E15&lt;=C21,IF(E15&gt;C20,(E15-C20)*D21,0)))</f>
        <v>0</v>
      </c>
    </row>
    <row r="22" spans="1:5" ht="12.75">
      <c r="A22" s="24">
        <v>600</v>
      </c>
      <c r="B22" s="24">
        <v>1200</v>
      </c>
      <c r="C22" s="27">
        <f>+B22*$B$1</f>
        <v>1963200</v>
      </c>
      <c r="D22" s="30">
        <v>0.22</v>
      </c>
      <c r="E22" s="27">
        <f>+IF(E15&gt;C22,(C22-C21)*D22,IF(E15&lt;=C22,IF(E15&gt;C21,(E15-C21)*D22,0)))</f>
        <v>0</v>
      </c>
    </row>
    <row r="23" spans="1:5" ht="12.75">
      <c r="A23" s="25">
        <v>1200</v>
      </c>
      <c r="B23" s="25"/>
      <c r="C23" s="32"/>
      <c r="D23" s="31">
        <v>0.25</v>
      </c>
      <c r="E23" s="32">
        <f>+IF(E15&gt;C22,(E15-C22)*D23,0)</f>
        <v>0</v>
      </c>
    </row>
    <row r="24" spans="1:5" ht="12.75">
      <c r="A24" s="87" t="s">
        <v>49</v>
      </c>
      <c r="B24" s="88"/>
      <c r="C24" s="88"/>
      <c r="D24" s="89"/>
      <c r="E24" s="35">
        <f>SUM(E18:E23)</f>
        <v>0</v>
      </c>
    </row>
    <row r="26" spans="1:7" ht="12.75">
      <c r="A26" s="81" t="s">
        <v>30</v>
      </c>
      <c r="B26" s="82"/>
      <c r="C26" s="82"/>
      <c r="D26" s="83"/>
      <c r="E26" s="42">
        <f>+Resultado!E11</f>
        <v>0</v>
      </c>
      <c r="G26" s="9" t="s">
        <v>31</v>
      </c>
    </row>
    <row r="27" spans="1:7" ht="12.75">
      <c r="A27" s="78" t="s">
        <v>29</v>
      </c>
      <c r="B27" s="79"/>
      <c r="C27" s="79"/>
      <c r="D27" s="79"/>
      <c r="E27" s="80"/>
      <c r="G27" s="9" t="s">
        <v>38</v>
      </c>
    </row>
    <row r="28" spans="1:7" ht="12.75">
      <c r="A28" s="4" t="s">
        <v>2</v>
      </c>
      <c r="B28" s="4" t="s">
        <v>3</v>
      </c>
      <c r="C28" s="4" t="s">
        <v>4</v>
      </c>
      <c r="D28" s="4" t="s">
        <v>6</v>
      </c>
      <c r="E28" s="22" t="s">
        <v>47</v>
      </c>
      <c r="G28" s="10" t="s">
        <v>32</v>
      </c>
    </row>
    <row r="29" spans="1:7" ht="12.75">
      <c r="A29" s="5">
        <v>0</v>
      </c>
      <c r="B29" s="5">
        <v>60</v>
      </c>
      <c r="C29" s="7">
        <f>+B29*$B$1</f>
        <v>98160</v>
      </c>
      <c r="D29" s="3">
        <v>0.1</v>
      </c>
      <c r="E29" s="26">
        <f>+IF(E26&lt;=C29,E26*D29,C29*D29)</f>
        <v>0</v>
      </c>
      <c r="G29" s="11" t="s">
        <v>33</v>
      </c>
    </row>
    <row r="30" spans="1:7" ht="12.75">
      <c r="A30" s="5">
        <v>60</v>
      </c>
      <c r="B30" s="5">
        <v>120</v>
      </c>
      <c r="C30" s="7">
        <f>+B30*$B$1</f>
        <v>196320</v>
      </c>
      <c r="D30" s="3">
        <v>0.15</v>
      </c>
      <c r="E30" s="27">
        <f>+IF(E26&gt;C30,(C30-C29)*D30,IF(E26&lt;=C30,IF(E26&gt;C29,(E26-C29)*D30,0)))</f>
        <v>0</v>
      </c>
      <c r="G30" s="7"/>
    </row>
    <row r="31" spans="1:7" ht="12.75">
      <c r="A31" s="5">
        <v>120</v>
      </c>
      <c r="B31" s="12">
        <v>180</v>
      </c>
      <c r="C31" s="7">
        <f>+B31*$B$1</f>
        <v>294480</v>
      </c>
      <c r="D31" s="3">
        <v>0.2</v>
      </c>
      <c r="E31" s="27">
        <f>+IF(E26&gt;C31,(C31-C30)*D31,IF(E26&lt;=C31,IF(E26&gt;C30,(E26-C30)*D31,0)))</f>
        <v>0</v>
      </c>
      <c r="G31" s="7"/>
    </row>
    <row r="32" spans="1:7" ht="12.75">
      <c r="A32" s="12">
        <v>180</v>
      </c>
      <c r="B32" s="12">
        <v>600</v>
      </c>
      <c r="C32" s="7">
        <f>+B32*$B$1</f>
        <v>981600</v>
      </c>
      <c r="D32" s="3">
        <v>0.22</v>
      </c>
      <c r="E32" s="27">
        <f>+IF(E26&gt;C32,(C32-C31)*D32,IF(E26&lt;=C32,IF(E26&gt;C31,(E26-C31)*D32,0)))</f>
        <v>0</v>
      </c>
      <c r="G32" s="7"/>
    </row>
    <row r="33" spans="1:7" ht="12.75">
      <c r="A33" s="12">
        <v>1200</v>
      </c>
      <c r="B33" s="5"/>
      <c r="C33" s="7">
        <f>+B33*$B$1</f>
        <v>0</v>
      </c>
      <c r="D33" s="3">
        <v>0.25</v>
      </c>
      <c r="E33" s="27">
        <f>+IF(E26&gt;C32,(E26-C32)*D33,0)</f>
        <v>0</v>
      </c>
      <c r="G33" s="7"/>
    </row>
    <row r="34" spans="1:7" ht="12.75">
      <c r="A34" s="5"/>
      <c r="B34" s="5"/>
      <c r="C34" s="7"/>
      <c r="E34" s="32">
        <f>+IF(E26&gt;C33,(E26-C33)*D34,0)</f>
        <v>0</v>
      </c>
      <c r="G34" s="7"/>
    </row>
    <row r="35" spans="1:7" ht="12.75">
      <c r="A35" s="87" t="s">
        <v>49</v>
      </c>
      <c r="B35" s="88"/>
      <c r="C35" s="88"/>
      <c r="D35" s="89"/>
      <c r="E35" s="35">
        <f>SUM(E29:E34)</f>
        <v>0</v>
      </c>
      <c r="G35" s="7"/>
    </row>
  </sheetData>
  <mergeCells count="9">
    <mergeCell ref="A27:E27"/>
    <mergeCell ref="A26:D26"/>
    <mergeCell ref="A4:D4"/>
    <mergeCell ref="A35:D35"/>
    <mergeCell ref="A5:E5"/>
    <mergeCell ref="A13:D13"/>
    <mergeCell ref="A16:E16"/>
    <mergeCell ref="A24:D24"/>
    <mergeCell ref="A15:D1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Isaac Alfie</cp:lastModifiedBy>
  <dcterms:created xsi:type="dcterms:W3CDTF">2006-03-09T13:41:01Z</dcterms:created>
  <dcterms:modified xsi:type="dcterms:W3CDTF">2007-06-19T14:00:30Z</dcterms:modified>
  <cp:category/>
  <cp:version/>
  <cp:contentType/>
  <cp:contentStatus/>
</cp:coreProperties>
</file>